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I Area\AMRedCross\Model\"/>
    </mc:Choice>
  </mc:AlternateContent>
  <bookViews>
    <workbookView xWindow="0" yWindow="0" windowWidth="20490" windowHeight="7155"/>
  </bookViews>
  <sheets>
    <sheet name="FORM INPUT" sheetId="10" r:id="rId1"/>
    <sheet name="Koefisien Runoff" sheetId="11" r:id="rId2"/>
    <sheet name="Model Travel Time" sheetId="3" r:id="rId3"/>
  </sheets>
  <calcPr calcId="152511" concurrentCalc="0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5" i="3"/>
  <c r="G4" i="3"/>
  <c r="G3" i="3"/>
  <c r="C6" i="3"/>
  <c r="H31" i="11"/>
  <c r="I31" i="11"/>
  <c r="J31" i="11"/>
  <c r="K31" i="11"/>
  <c r="C5" i="3"/>
  <c r="H23" i="11"/>
  <c r="I23" i="11"/>
  <c r="J23" i="11"/>
  <c r="K23" i="11"/>
  <c r="C4" i="3"/>
  <c r="H14" i="11"/>
  <c r="I14" i="11"/>
  <c r="J14" i="11"/>
  <c r="K14" i="11"/>
  <c r="C3" i="3"/>
  <c r="H4" i="11"/>
  <c r="I4" i="11"/>
  <c r="J4" i="11"/>
  <c r="K4" i="11"/>
  <c r="G4" i="11"/>
  <c r="F4" i="11"/>
  <c r="F5" i="11"/>
  <c r="F6" i="11"/>
  <c r="F7" i="11"/>
  <c r="F8" i="11"/>
  <c r="F9" i="11"/>
  <c r="F10" i="11"/>
  <c r="F11" i="11"/>
  <c r="F12" i="11"/>
  <c r="F13" i="11"/>
  <c r="B4" i="11"/>
  <c r="F3" i="3"/>
  <c r="E3" i="3"/>
  <c r="J3" i="3"/>
  <c r="F14" i="11"/>
  <c r="F15" i="11"/>
  <c r="F16" i="11"/>
  <c r="F17" i="11"/>
  <c r="F18" i="11"/>
  <c r="F19" i="11"/>
  <c r="F20" i="11"/>
  <c r="F21" i="11"/>
  <c r="F22" i="11"/>
  <c r="G14" i="11"/>
  <c r="B14" i="11"/>
  <c r="F4" i="3"/>
  <c r="E4" i="3"/>
  <c r="J4" i="3"/>
  <c r="F4" i="10"/>
  <c r="F23" i="11"/>
  <c r="F24" i="11"/>
  <c r="F25" i="11"/>
  <c r="F26" i="11"/>
  <c r="F27" i="11"/>
  <c r="F28" i="11"/>
  <c r="F29" i="11"/>
  <c r="F30" i="11"/>
  <c r="G23" i="11"/>
  <c r="B23" i="11"/>
  <c r="F5" i="3"/>
  <c r="E5" i="3"/>
  <c r="J5" i="3"/>
  <c r="F5" i="10"/>
  <c r="F31" i="11"/>
  <c r="F32" i="11"/>
  <c r="F33" i="11"/>
  <c r="F34" i="11"/>
  <c r="F35" i="11"/>
  <c r="F36" i="11"/>
  <c r="F37" i="11"/>
  <c r="F38" i="11"/>
  <c r="F39" i="11"/>
  <c r="G31" i="11"/>
  <c r="B31" i="11"/>
  <c r="F6" i="3"/>
  <c r="E6" i="3"/>
  <c r="J6" i="3"/>
  <c r="F6" i="10"/>
  <c r="F3" i="10"/>
  <c r="H4" i="3"/>
  <c r="E4" i="10"/>
  <c r="H5" i="3"/>
  <c r="E5" i="10"/>
  <c r="H6" i="3"/>
  <c r="E6" i="10"/>
  <c r="H3" i="3"/>
  <c r="E3" i="10"/>
  <c r="L4" i="3"/>
  <c r="M4" i="3"/>
  <c r="D4" i="10"/>
  <c r="L5" i="3"/>
  <c r="M5" i="3"/>
  <c r="D5" i="10"/>
  <c r="L6" i="3"/>
  <c r="M6" i="3"/>
  <c r="D6" i="10"/>
  <c r="L3" i="3"/>
  <c r="M3" i="3"/>
  <c r="D3" i="10"/>
  <c r="I4" i="3"/>
  <c r="I6" i="3"/>
  <c r="I5" i="3"/>
  <c r="F40" i="11"/>
  <c r="F41" i="11"/>
  <c r="F42" i="11"/>
  <c r="F43" i="11"/>
  <c r="F44" i="11"/>
  <c r="F45" i="11"/>
  <c r="F46" i="11"/>
  <c r="F47" i="11"/>
  <c r="G40" i="11"/>
  <c r="I40" i="11"/>
  <c r="F48" i="11"/>
  <c r="F49" i="11"/>
  <c r="F50" i="11"/>
  <c r="F51" i="11"/>
  <c r="F52" i="11"/>
  <c r="F53" i="11"/>
  <c r="F54" i="11"/>
  <c r="F55" i="11"/>
  <c r="G48" i="11"/>
  <c r="I48" i="11"/>
  <c r="B48" i="11"/>
  <c r="B40" i="11"/>
  <c r="J48" i="11"/>
  <c r="J40" i="11"/>
</calcChain>
</file>

<file path=xl/comments1.xml><?xml version="1.0" encoding="utf-8"?>
<comments xmlns="http://schemas.openxmlformats.org/spreadsheetml/2006/main">
  <authors>
    <author>Rizki Abdul Basit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Rizki Abdul Basit:</t>
        </r>
        <r>
          <rPr>
            <sz val="9"/>
            <color indexed="81"/>
            <rFont val="Tahoma"/>
            <family val="2"/>
          </rPr>
          <t xml:space="preserve">
MT Haryono</t>
        </r>
      </text>
    </comment>
  </commentList>
</comments>
</file>

<file path=xl/comments2.xml><?xml version="1.0" encoding="utf-8"?>
<comments xmlns="http://schemas.openxmlformats.org/spreadsheetml/2006/main">
  <authors>
    <author>Rizki Abdul Basit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Rizki Abdul Basit:</t>
        </r>
        <r>
          <rPr>
            <sz val="9"/>
            <color indexed="81"/>
            <rFont val="Tahoma"/>
            <family val="2"/>
          </rPr>
          <t xml:space="preserve">
Dari ArcGIS</t>
        </r>
      </text>
    </comment>
  </commentList>
</comments>
</file>

<file path=xl/sharedStrings.xml><?xml version="1.0" encoding="utf-8"?>
<sst xmlns="http://schemas.openxmlformats.org/spreadsheetml/2006/main" count="116" uniqueCount="64">
  <si>
    <t>Stasiun Pengukuran Debit</t>
  </si>
  <si>
    <t>Jenis Landuse</t>
  </si>
  <si>
    <t>Katulampa</t>
  </si>
  <si>
    <t>Sawah</t>
  </si>
  <si>
    <r>
      <t>Luas Sub DAS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</si>
  <si>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Kampung Kelapa</t>
  </si>
  <si>
    <t>Depok</t>
  </si>
  <si>
    <t>MT Haryono</t>
  </si>
  <si>
    <t>Manggarai</t>
  </si>
  <si>
    <t>Hilir</t>
  </si>
  <si>
    <t>Danau/Situ</t>
  </si>
  <si>
    <t>Gedung/Bangunan</t>
  </si>
  <si>
    <t>Perkebunan/Kebun</t>
  </si>
  <si>
    <t>Permukiman dan Tempat Kegiatan</t>
  </si>
  <si>
    <t>Properti Tumpang Susun</t>
  </si>
  <si>
    <t>Sungai</t>
  </si>
  <si>
    <t>Tanah Kosong/Gundul</t>
  </si>
  <si>
    <t>Tegalan/Ladang</t>
  </si>
  <si>
    <t>Semak Belukar</t>
  </si>
  <si>
    <t>Hutan Rimba</t>
  </si>
  <si>
    <t>Luas masing-masing jenis landuse (km2)</t>
  </si>
  <si>
    <t>Koefisien C</t>
  </si>
  <si>
    <t>Cq</t>
  </si>
  <si>
    <t>C1</t>
  </si>
  <si>
    <t>Curah Hujan</t>
  </si>
  <si>
    <t>Q</t>
  </si>
  <si>
    <t>CH</t>
  </si>
  <si>
    <t>Outlet</t>
  </si>
  <si>
    <t>Debit Dasar</t>
  </si>
  <si>
    <t>Debit Input</t>
  </si>
  <si>
    <t>Total Debit</t>
  </si>
  <si>
    <t>TMA</t>
  </si>
  <si>
    <t>lebar</t>
  </si>
  <si>
    <t>l</t>
  </si>
  <si>
    <t>Travel Time</t>
  </si>
  <si>
    <t>TMA Base</t>
  </si>
  <si>
    <t>Debit TMA</t>
  </si>
  <si>
    <t>Input</t>
  </si>
  <si>
    <t>Output</t>
  </si>
  <si>
    <t>TMA Plus</t>
  </si>
  <si>
    <t>Keterangan:</t>
  </si>
  <si>
    <t>Pintu Air</t>
  </si>
  <si>
    <t>Siaga III</t>
  </si>
  <si>
    <t>Siaga II</t>
  </si>
  <si>
    <t>Siaga I</t>
  </si>
  <si>
    <t>Bendung Katulampa</t>
  </si>
  <si>
    <t>Pos Depok</t>
  </si>
  <si>
    <t>PA Manggarai</t>
  </si>
  <si>
    <t>0.81 ~ 1.50</t>
  </si>
  <si>
    <t>1.51 ~ 2.00</t>
  </si>
  <si>
    <t>≥ 2.01</t>
  </si>
  <si>
    <t>2.01 ~ 2.70</t>
  </si>
  <si>
    <t>2.71 ~ 3.50</t>
  </si>
  <si>
    <t>≥ 3.51</t>
  </si>
  <si>
    <t>7.51 ~ 8.50</t>
  </si>
  <si>
    <t>8.51 ~ 9.50</t>
  </si>
  <si>
    <t>≥ 9.51</t>
  </si>
  <si>
    <t>Batas Siaga (m)</t>
  </si>
  <si>
    <t>Q (m^3/s)</t>
  </si>
  <si>
    <t>TMA (m)</t>
  </si>
  <si>
    <t>Travel Time (jam)</t>
  </si>
  <si>
    <t>CH (mm)</t>
  </si>
  <si>
    <t>TMA Base (m)</t>
  </si>
  <si>
    <t>4*5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</si>
</sst>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727272"/>
      <name val="Open Sans"/>
      <family val="2"/>
    </font>
    <font>
      <sz val="9"/>
      <color rgb="FF727272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2" fontId="0" fillId="0" borderId="0" xfId="0" applyNumberFormat="1" applyBorder="1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2" fontId="0" fillId="3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 applyProtection="1"/>
    <xf numFmtId="0" fontId="1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3" borderId="1" xfId="0" applyFill="1" applyBorder="1" applyProtection="1"/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Font="1" applyBorder="1"/>
    <xf numFmtId="0" fontId="1" fillId="2" borderId="1" xfId="0" applyNumberFormat="1" applyFont="1" applyFill="1" applyBorder="1"/>
    <xf numFmtId="0" fontId="0" fillId="0" borderId="1" xfId="0" applyFill="1" applyBorder="1"/>
    <xf numFmtId="0" fontId="0" fillId="2" borderId="1" xfId="0" applyFill="1" applyBorder="1" applyProtection="1"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C3" sqref="C3"/>
    </sheetView>
  </sheetViews>
  <sheetFormatPr defaultRowHeight="15" x14ac:dyDescent="0.25"/>
  <cols>
    <col min="1" max="1" width="19.28515625" customWidth="1"/>
    <col min="2" max="2" width="9.7109375" bestFit="1" customWidth="1"/>
    <col min="3" max="3" width="13.42578125" bestFit="1" customWidth="1"/>
    <col min="4" max="4" width="16.5703125" bestFit="1" customWidth="1"/>
    <col min="5" max="5" width="8.7109375" bestFit="1" customWidth="1"/>
    <col min="6" max="7" width="12" bestFit="1" customWidth="1"/>
    <col min="9" max="9" width="15.85546875" bestFit="1" customWidth="1"/>
    <col min="12" max="12" width="9.7109375" bestFit="1" customWidth="1"/>
    <col min="13" max="13" width="11.28515625" bestFit="1" customWidth="1"/>
  </cols>
  <sheetData>
    <row r="2" spans="1:6" x14ac:dyDescent="0.25">
      <c r="A2" s="7" t="s">
        <v>27</v>
      </c>
      <c r="B2" s="8" t="s">
        <v>61</v>
      </c>
      <c r="C2" s="8" t="s">
        <v>62</v>
      </c>
      <c r="D2" s="17" t="s">
        <v>60</v>
      </c>
      <c r="E2" s="17" t="s">
        <v>59</v>
      </c>
      <c r="F2" s="17" t="s">
        <v>58</v>
      </c>
    </row>
    <row r="3" spans="1:6" x14ac:dyDescent="0.25">
      <c r="A3" s="6" t="s">
        <v>2</v>
      </c>
      <c r="B3" s="49">
        <v>0</v>
      </c>
      <c r="C3" s="49">
        <v>0.1</v>
      </c>
      <c r="D3" s="16">
        <f>'Model Travel Time'!M3</f>
        <v>15.864797503626521</v>
      </c>
      <c r="E3" s="32">
        <f>'Model Travel Time'!H3</f>
        <v>0.1</v>
      </c>
      <c r="F3" s="32">
        <f>'Model Travel Time'!J3</f>
        <v>1.4425719020920118</v>
      </c>
    </row>
    <row r="4" spans="1:6" x14ac:dyDescent="0.25">
      <c r="A4" s="6" t="s">
        <v>5</v>
      </c>
      <c r="B4" s="49">
        <v>0</v>
      </c>
      <c r="C4" s="49">
        <v>0.2</v>
      </c>
      <c r="D4" s="16">
        <f>'Model Travel Time'!M4</f>
        <v>10.825317659448684</v>
      </c>
      <c r="E4" s="32">
        <f>'Model Travel Time'!H4</f>
        <v>0.2</v>
      </c>
      <c r="F4" s="32">
        <f>'Model Travel Time'!J4</f>
        <v>3.3754205788230811</v>
      </c>
    </row>
    <row r="5" spans="1:6" x14ac:dyDescent="0.25">
      <c r="A5" s="6" t="s">
        <v>6</v>
      </c>
      <c r="B5" s="49">
        <v>0</v>
      </c>
      <c r="C5" s="49">
        <v>0.8</v>
      </c>
      <c r="D5" s="16">
        <f>'Model Travel Time'!M5</f>
        <v>4.8553233109117855</v>
      </c>
      <c r="E5" s="32">
        <f>'Model Travel Time'!H5</f>
        <v>0.8</v>
      </c>
      <c r="F5" s="32">
        <f>'Model Travel Time'!J5</f>
        <v>17.124388865636771</v>
      </c>
    </row>
    <row r="6" spans="1:6" x14ac:dyDescent="0.25">
      <c r="A6" s="6" t="s">
        <v>7</v>
      </c>
      <c r="B6" s="49">
        <v>0</v>
      </c>
      <c r="C6" s="49">
        <v>1</v>
      </c>
      <c r="D6" s="16">
        <f>'Model Travel Time'!M6</f>
        <v>14.043103659415371</v>
      </c>
      <c r="E6" s="32">
        <f>'Model Travel Time'!H6</f>
        <v>1</v>
      </c>
      <c r="F6" s="32">
        <f>'Model Travel Time'!J6</f>
        <v>20.951565062523287</v>
      </c>
    </row>
    <row r="8" spans="1:6" x14ac:dyDescent="0.25">
      <c r="A8" s="3" t="s">
        <v>40</v>
      </c>
    </row>
    <row r="9" spans="1:6" x14ac:dyDescent="0.25">
      <c r="A9" s="13"/>
      <c r="B9" s="11" t="s">
        <v>37</v>
      </c>
    </row>
    <row r="10" spans="1:6" x14ac:dyDescent="0.25">
      <c r="A10" s="15"/>
      <c r="B10" s="11" t="s">
        <v>38</v>
      </c>
    </row>
    <row r="11" spans="1:6" ht="15.75" thickBot="1" x14ac:dyDescent="0.3"/>
    <row r="12" spans="1:6" x14ac:dyDescent="0.25">
      <c r="A12" s="50" t="s">
        <v>41</v>
      </c>
      <c r="B12" s="52" t="s">
        <v>57</v>
      </c>
      <c r="C12" s="52"/>
      <c r="D12" s="53"/>
    </row>
    <row r="13" spans="1:6" x14ac:dyDescent="0.25">
      <c r="A13" s="51"/>
      <c r="B13" s="18" t="s">
        <v>42</v>
      </c>
      <c r="C13" s="18" t="s">
        <v>43</v>
      </c>
      <c r="D13" s="21" t="s">
        <v>44</v>
      </c>
    </row>
    <row r="14" spans="1:6" x14ac:dyDescent="0.25">
      <c r="A14" s="22" t="s">
        <v>45</v>
      </c>
      <c r="B14" s="19" t="s">
        <v>48</v>
      </c>
      <c r="C14" s="20" t="s">
        <v>49</v>
      </c>
      <c r="D14" s="23" t="s">
        <v>50</v>
      </c>
    </row>
    <row r="15" spans="1:6" ht="15.75" thickBot="1" x14ac:dyDescent="0.3">
      <c r="A15" s="24" t="s">
        <v>46</v>
      </c>
      <c r="B15" s="25" t="s">
        <v>51</v>
      </c>
      <c r="C15" s="26" t="s">
        <v>52</v>
      </c>
      <c r="D15" s="27" t="s">
        <v>53</v>
      </c>
    </row>
    <row r="16" spans="1:6" ht="15.75" thickBot="1" x14ac:dyDescent="0.3">
      <c r="A16" s="28" t="s">
        <v>47</v>
      </c>
      <c r="B16" s="29" t="s">
        <v>54</v>
      </c>
      <c r="C16" s="30" t="s">
        <v>55</v>
      </c>
      <c r="D16" s="31" t="s">
        <v>56</v>
      </c>
    </row>
  </sheetData>
  <sheetProtection algorithmName="SHA-512" hashValue="HSS38Hqqy7bCFdsUO0lW8CWBYeL5OKb4tU43HdiHxC3Xxv1zcqNCpPEM1RFUO6fzYC6wM732WzZf1mTi47SdMA==" saltValue="QhdSREa6rrDD4lWbWPH0NQ==" spinCount="100000" sheet="1" objects="1" scenarios="1"/>
  <mergeCells count="2">
    <mergeCell ref="A12:A13"/>
    <mergeCell ref="B12:D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E4" sqref="E4"/>
    </sheetView>
  </sheetViews>
  <sheetFormatPr defaultRowHeight="15" x14ac:dyDescent="0.25"/>
  <cols>
    <col min="1" max="1" width="18.28515625" style="33" customWidth="1"/>
    <col min="2" max="2" width="11.5703125" style="33" bestFit="1" customWidth="1"/>
    <col min="3" max="3" width="33.28515625" style="33" bestFit="1" customWidth="1"/>
    <col min="4" max="4" width="10.85546875" style="33" customWidth="1"/>
    <col min="5" max="5" width="13.7109375" style="33" bestFit="1" customWidth="1"/>
    <col min="6" max="8" width="9.140625" style="33"/>
    <col min="9" max="9" width="12" style="33" bestFit="1" customWidth="1"/>
    <col min="10" max="16384" width="9.140625" style="33"/>
  </cols>
  <sheetData>
    <row r="1" spans="1:11" x14ac:dyDescent="0.25">
      <c r="A1" s="60" t="s">
        <v>0</v>
      </c>
      <c r="B1" s="62" t="s">
        <v>4</v>
      </c>
      <c r="C1" s="62" t="s">
        <v>1</v>
      </c>
      <c r="D1" s="62" t="s">
        <v>21</v>
      </c>
      <c r="E1" s="62" t="s">
        <v>20</v>
      </c>
      <c r="F1" s="65" t="s">
        <v>23</v>
      </c>
      <c r="G1" s="65" t="s">
        <v>22</v>
      </c>
      <c r="H1" s="65" t="s">
        <v>26</v>
      </c>
      <c r="I1" s="65" t="s">
        <v>24</v>
      </c>
      <c r="J1" s="65" t="s">
        <v>25</v>
      </c>
      <c r="K1" s="66" t="s">
        <v>31</v>
      </c>
    </row>
    <row r="2" spans="1:11" x14ac:dyDescent="0.25">
      <c r="A2" s="61"/>
      <c r="B2" s="62"/>
      <c r="C2" s="62"/>
      <c r="D2" s="62"/>
      <c r="E2" s="62"/>
      <c r="F2" s="65"/>
      <c r="G2" s="65"/>
      <c r="H2" s="65"/>
      <c r="I2" s="65"/>
      <c r="J2" s="65"/>
      <c r="K2" s="66"/>
    </row>
    <row r="3" spans="1:11" x14ac:dyDescent="0.25">
      <c r="A3" s="40">
        <v>1</v>
      </c>
      <c r="B3" s="41">
        <v>2</v>
      </c>
      <c r="C3" s="42">
        <v>3</v>
      </c>
      <c r="D3" s="42">
        <v>4</v>
      </c>
      <c r="E3" s="42">
        <v>5</v>
      </c>
      <c r="F3" s="39" t="s">
        <v>63</v>
      </c>
      <c r="G3" s="39"/>
      <c r="H3" s="39"/>
      <c r="I3" s="39"/>
      <c r="J3" s="39"/>
      <c r="K3" s="43"/>
    </row>
    <row r="4" spans="1:11" ht="15" customHeight="1" x14ac:dyDescent="0.25">
      <c r="A4" s="54" t="s">
        <v>2</v>
      </c>
      <c r="B4" s="57">
        <f>SUM(E4:E13)</f>
        <v>150.77707424694995</v>
      </c>
      <c r="C4" s="34" t="s">
        <v>11</v>
      </c>
      <c r="D4" s="34">
        <v>0.75</v>
      </c>
      <c r="E4" s="9">
        <v>0.46547402701999996</v>
      </c>
      <c r="F4" s="35">
        <f t="shared" ref="F4:F35" si="0">D4*$E4</f>
        <v>0.34910552026499997</v>
      </c>
      <c r="G4" s="36">
        <f>SUM(F4:F13)/SUM($E$4:$E$13)</f>
        <v>0.40873544864761274</v>
      </c>
      <c r="H4" s="36">
        <f>'Model Travel Time'!C3</f>
        <v>0</v>
      </c>
      <c r="I4" s="36">
        <f>(0.001*H4)/86400</f>
        <v>0</v>
      </c>
      <c r="J4" s="36">
        <f>G4*I4*B4*10^6</f>
        <v>0</v>
      </c>
      <c r="K4" s="33">
        <f>((J4/41.31)^(1/2.02))+(-0.09)</f>
        <v>-0.09</v>
      </c>
    </row>
    <row r="5" spans="1:11" x14ac:dyDescent="0.25">
      <c r="A5" s="55"/>
      <c r="B5" s="58"/>
      <c r="C5" s="34" t="s">
        <v>12</v>
      </c>
      <c r="D5" s="34">
        <v>0.41</v>
      </c>
      <c r="E5" s="9">
        <v>73.61416729299998</v>
      </c>
      <c r="F5" s="35">
        <f t="shared" si="0"/>
        <v>30.18180859012999</v>
      </c>
      <c r="G5" s="36"/>
      <c r="H5" s="36"/>
      <c r="I5" s="36"/>
      <c r="J5" s="36"/>
    </row>
    <row r="6" spans="1:11" x14ac:dyDescent="0.25">
      <c r="A6" s="55"/>
      <c r="B6" s="58"/>
      <c r="C6" s="34" t="s">
        <v>13</v>
      </c>
      <c r="D6" s="34">
        <v>0.75</v>
      </c>
      <c r="E6" s="9">
        <v>21.179718036650009</v>
      </c>
      <c r="F6" s="35">
        <f t="shared" si="0"/>
        <v>15.884788527487506</v>
      </c>
      <c r="G6" s="36"/>
      <c r="H6" s="36"/>
      <c r="I6" s="36"/>
      <c r="J6" s="36"/>
    </row>
    <row r="7" spans="1:11" x14ac:dyDescent="0.25">
      <c r="A7" s="55"/>
      <c r="B7" s="58"/>
      <c r="C7" s="34" t="s">
        <v>3</v>
      </c>
      <c r="D7" s="34">
        <v>0.25</v>
      </c>
      <c r="E7" s="9">
        <v>1.9465964665000002</v>
      </c>
      <c r="F7" s="35">
        <f t="shared" si="0"/>
        <v>0.48664911662500004</v>
      </c>
      <c r="G7" s="36"/>
      <c r="H7" s="36"/>
      <c r="I7" s="36"/>
      <c r="J7" s="36"/>
    </row>
    <row r="8" spans="1:11" x14ac:dyDescent="0.25">
      <c r="A8" s="55"/>
      <c r="B8" s="58"/>
      <c r="C8" s="34" t="s">
        <v>15</v>
      </c>
      <c r="D8" s="34">
        <v>1</v>
      </c>
      <c r="E8" s="9">
        <v>0.44823145000000003</v>
      </c>
      <c r="F8" s="35">
        <f t="shared" si="0"/>
        <v>0.44823145000000003</v>
      </c>
      <c r="G8" s="36"/>
      <c r="H8" s="36"/>
      <c r="I8" s="36"/>
      <c r="J8" s="36"/>
    </row>
    <row r="9" spans="1:11" x14ac:dyDescent="0.25">
      <c r="A9" s="55"/>
      <c r="B9" s="58"/>
      <c r="C9" s="34" t="s">
        <v>16</v>
      </c>
      <c r="D9" s="34">
        <v>0.62</v>
      </c>
      <c r="E9" s="9">
        <v>0.24626220720000003</v>
      </c>
      <c r="F9" s="35">
        <f t="shared" si="0"/>
        <v>0.15268256846400002</v>
      </c>
      <c r="G9" s="36"/>
      <c r="H9" s="36"/>
      <c r="I9" s="36"/>
      <c r="J9" s="36"/>
    </row>
    <row r="10" spans="1:11" x14ac:dyDescent="0.25">
      <c r="A10" s="55"/>
      <c r="B10" s="58"/>
      <c r="C10" s="34" t="s">
        <v>17</v>
      </c>
      <c r="D10" s="34">
        <v>0.5</v>
      </c>
      <c r="E10" s="9">
        <v>2.4935981821799995</v>
      </c>
      <c r="F10" s="35">
        <f t="shared" si="0"/>
        <v>1.2467990910899998</v>
      </c>
      <c r="G10" s="36"/>
      <c r="H10" s="36"/>
      <c r="I10" s="36"/>
      <c r="J10" s="36"/>
    </row>
    <row r="11" spans="1:11" x14ac:dyDescent="0.25">
      <c r="A11" s="55"/>
      <c r="B11" s="58"/>
      <c r="C11" s="34" t="s">
        <v>10</v>
      </c>
      <c r="D11" s="34">
        <v>0</v>
      </c>
      <c r="E11" s="9">
        <v>1.9758229999999998E-2</v>
      </c>
      <c r="F11" s="35">
        <f t="shared" si="0"/>
        <v>0</v>
      </c>
      <c r="G11" s="36"/>
      <c r="H11" s="36"/>
      <c r="I11" s="36"/>
      <c r="J11" s="36"/>
    </row>
    <row r="12" spans="1:11" x14ac:dyDescent="0.25">
      <c r="A12" s="55"/>
      <c r="B12" s="58"/>
      <c r="C12" s="34" t="s">
        <v>19</v>
      </c>
      <c r="D12" s="34">
        <v>0.25</v>
      </c>
      <c r="E12" s="9">
        <v>47.492736999999998</v>
      </c>
      <c r="F12" s="35">
        <f t="shared" si="0"/>
        <v>11.87318425</v>
      </c>
      <c r="G12" s="36"/>
      <c r="H12" s="36"/>
      <c r="I12" s="36"/>
      <c r="J12" s="36"/>
    </row>
    <row r="13" spans="1:11" x14ac:dyDescent="0.25">
      <c r="A13" s="56"/>
      <c r="B13" s="59"/>
      <c r="C13" s="34" t="s">
        <v>18</v>
      </c>
      <c r="D13" s="34">
        <v>0.35</v>
      </c>
      <c r="E13" s="9">
        <v>2.8705313544000002</v>
      </c>
      <c r="F13" s="35">
        <f t="shared" si="0"/>
        <v>1.00468597404</v>
      </c>
      <c r="G13" s="36"/>
      <c r="H13" s="36"/>
      <c r="I13" s="36"/>
      <c r="J13" s="36"/>
    </row>
    <row r="14" spans="1:11" ht="15" customHeight="1" x14ac:dyDescent="0.25">
      <c r="A14" s="54" t="s">
        <v>5</v>
      </c>
      <c r="B14" s="57">
        <f>SUM(E14:E22)</f>
        <v>74.892500755371998</v>
      </c>
      <c r="C14" s="34" t="s">
        <v>11</v>
      </c>
      <c r="D14" s="34">
        <v>0.75</v>
      </c>
      <c r="E14" s="9">
        <v>0.5811331030000001</v>
      </c>
      <c r="F14" s="35">
        <f t="shared" si="0"/>
        <v>0.4358498272500001</v>
      </c>
      <c r="G14" s="36">
        <f>SUM(F14:F22)/SUM($E$14:$E$22)</f>
        <v>0.65132782969907799</v>
      </c>
      <c r="H14" s="36">
        <f>'Model Travel Time'!C4</f>
        <v>0</v>
      </c>
      <c r="I14" s="36">
        <f>(0.001*H14)/86400</f>
        <v>0</v>
      </c>
      <c r="J14" s="36">
        <f>G14*I14*B14*10^6</f>
        <v>0</v>
      </c>
      <c r="K14" s="33">
        <f>((J14/23.06)^(1/2.298))+(-0.14)</f>
        <v>-0.14000000000000001</v>
      </c>
    </row>
    <row r="15" spans="1:11" x14ac:dyDescent="0.25">
      <c r="A15" s="55"/>
      <c r="B15" s="58"/>
      <c r="C15" s="34" t="s">
        <v>12</v>
      </c>
      <c r="D15" s="34">
        <v>0.41</v>
      </c>
      <c r="E15" s="9">
        <v>4.777269274990001</v>
      </c>
      <c r="F15" s="35">
        <f t="shared" si="0"/>
        <v>1.9586804027459004</v>
      </c>
      <c r="G15" s="36"/>
      <c r="H15" s="36"/>
      <c r="I15" s="36"/>
      <c r="J15" s="36"/>
    </row>
    <row r="16" spans="1:11" x14ac:dyDescent="0.25">
      <c r="A16" s="55"/>
      <c r="B16" s="58"/>
      <c r="C16" s="34" t="s">
        <v>13</v>
      </c>
      <c r="D16" s="34">
        <v>0.75</v>
      </c>
      <c r="E16" s="9">
        <v>52.873567502002004</v>
      </c>
      <c r="F16" s="35">
        <f t="shared" si="0"/>
        <v>39.655175626501503</v>
      </c>
      <c r="G16" s="36"/>
      <c r="H16" s="36"/>
      <c r="I16" s="36"/>
      <c r="J16" s="36"/>
    </row>
    <row r="17" spans="1:11" x14ac:dyDescent="0.25">
      <c r="A17" s="55"/>
      <c r="B17" s="58"/>
      <c r="C17" s="34" t="s">
        <v>3</v>
      </c>
      <c r="D17" s="34">
        <v>0.25</v>
      </c>
      <c r="E17" s="9">
        <v>7.8211729000000005</v>
      </c>
      <c r="F17" s="35">
        <f t="shared" si="0"/>
        <v>1.9552932250000001</v>
      </c>
      <c r="G17" s="36"/>
      <c r="H17" s="36"/>
      <c r="I17" s="36"/>
      <c r="J17" s="36"/>
    </row>
    <row r="18" spans="1:11" x14ac:dyDescent="0.25">
      <c r="A18" s="55"/>
      <c r="B18" s="58"/>
      <c r="C18" s="34" t="s">
        <v>18</v>
      </c>
      <c r="D18" s="34">
        <v>0.35</v>
      </c>
      <c r="E18" s="9">
        <v>3.7972660000000005E-2</v>
      </c>
      <c r="F18" s="35">
        <f t="shared" si="0"/>
        <v>1.3290431000000002E-2</v>
      </c>
      <c r="G18" s="36"/>
      <c r="H18" s="36"/>
      <c r="I18" s="36"/>
      <c r="J18" s="36"/>
    </row>
    <row r="19" spans="1:11" x14ac:dyDescent="0.25">
      <c r="A19" s="55"/>
      <c r="B19" s="58"/>
      <c r="C19" s="34" t="s">
        <v>15</v>
      </c>
      <c r="D19" s="34">
        <v>1</v>
      </c>
      <c r="E19" s="9">
        <v>0.79282800000000009</v>
      </c>
      <c r="F19" s="35">
        <f t="shared" si="0"/>
        <v>0.79282800000000009</v>
      </c>
      <c r="G19" s="36"/>
      <c r="H19" s="36"/>
      <c r="I19" s="36"/>
      <c r="J19" s="36"/>
    </row>
    <row r="20" spans="1:11" x14ac:dyDescent="0.25">
      <c r="A20" s="55"/>
      <c r="B20" s="58"/>
      <c r="C20" s="34" t="s">
        <v>16</v>
      </c>
      <c r="D20" s="34">
        <v>0.62</v>
      </c>
      <c r="E20" s="9">
        <v>0.35344031288</v>
      </c>
      <c r="F20" s="35">
        <f t="shared" si="0"/>
        <v>0.21913299398559999</v>
      </c>
      <c r="G20" s="36"/>
      <c r="H20" s="36"/>
      <c r="I20" s="36"/>
      <c r="J20" s="36"/>
    </row>
    <row r="21" spans="1:11" x14ac:dyDescent="0.25">
      <c r="A21" s="55"/>
      <c r="B21" s="58"/>
      <c r="C21" s="34" t="s">
        <v>17</v>
      </c>
      <c r="D21" s="34">
        <v>0.5</v>
      </c>
      <c r="E21" s="9">
        <v>7.4986389425000004</v>
      </c>
      <c r="F21" s="35">
        <f t="shared" si="0"/>
        <v>3.7493194712500002</v>
      </c>
      <c r="G21" s="36"/>
      <c r="H21" s="36"/>
      <c r="I21" s="36"/>
      <c r="J21" s="36"/>
    </row>
    <row r="22" spans="1:11" x14ac:dyDescent="0.25">
      <c r="A22" s="56"/>
      <c r="B22" s="59"/>
      <c r="C22" s="34" t="s">
        <v>10</v>
      </c>
      <c r="D22" s="34">
        <v>0</v>
      </c>
      <c r="E22" s="9">
        <v>0.15647805999999997</v>
      </c>
      <c r="F22" s="35">
        <f t="shared" si="0"/>
        <v>0</v>
      </c>
      <c r="G22" s="36"/>
      <c r="H22" s="36"/>
      <c r="I22" s="36"/>
      <c r="J22" s="36"/>
    </row>
    <row r="23" spans="1:11" x14ac:dyDescent="0.25">
      <c r="A23" s="54" t="s">
        <v>6</v>
      </c>
      <c r="B23" s="57">
        <f>SUM(E23:E30)</f>
        <v>36.635055901489999</v>
      </c>
      <c r="C23" s="34" t="s">
        <v>10</v>
      </c>
      <c r="D23" s="34">
        <v>0</v>
      </c>
      <c r="E23" s="9">
        <v>0.20914204</v>
      </c>
      <c r="F23" s="35">
        <f t="shared" si="0"/>
        <v>0</v>
      </c>
      <c r="G23" s="36">
        <f>SUM(F23:F30)/SUM($E$23:$E$30)</f>
        <v>0.71194979136272296</v>
      </c>
      <c r="H23" s="36">
        <f>'Model Travel Time'!C5</f>
        <v>0</v>
      </c>
      <c r="I23" s="36">
        <f>(0.001*H23)/86400</f>
        <v>0</v>
      </c>
      <c r="J23" s="36">
        <f>G23*I23*B23*10^6</f>
        <v>0</v>
      </c>
      <c r="K23" s="33">
        <f>((J23/22.75)^(1/1.703))+(0.056)</f>
        <v>5.6000000000000001E-2</v>
      </c>
    </row>
    <row r="24" spans="1:11" x14ac:dyDescent="0.25">
      <c r="A24" s="55"/>
      <c r="B24" s="58"/>
      <c r="C24" s="34" t="s">
        <v>11</v>
      </c>
      <c r="D24" s="34">
        <v>0.75</v>
      </c>
      <c r="E24" s="9">
        <v>0.56896040732000008</v>
      </c>
      <c r="F24" s="35">
        <f t="shared" si="0"/>
        <v>0.42672030549000006</v>
      </c>
      <c r="G24" s="36"/>
      <c r="H24" s="36"/>
      <c r="I24" s="36"/>
      <c r="J24" s="36"/>
    </row>
    <row r="25" spans="1:11" x14ac:dyDescent="0.25">
      <c r="A25" s="55"/>
      <c r="B25" s="58"/>
      <c r="C25" s="34" t="s">
        <v>12</v>
      </c>
      <c r="D25" s="34">
        <v>0.41</v>
      </c>
      <c r="E25" s="9">
        <v>0.40698694899999999</v>
      </c>
      <c r="F25" s="35">
        <f t="shared" si="0"/>
        <v>0.16686464908999998</v>
      </c>
      <c r="G25" s="36"/>
      <c r="H25" s="36"/>
      <c r="I25" s="36"/>
      <c r="J25" s="36"/>
    </row>
    <row r="26" spans="1:11" x14ac:dyDescent="0.25">
      <c r="A26" s="55"/>
      <c r="B26" s="58"/>
      <c r="C26" s="34" t="s">
        <v>13</v>
      </c>
      <c r="D26" s="34">
        <v>0.75</v>
      </c>
      <c r="E26" s="9">
        <v>31.440403428170001</v>
      </c>
      <c r="F26" s="35">
        <f t="shared" si="0"/>
        <v>23.5803025711275</v>
      </c>
      <c r="G26" s="36"/>
      <c r="H26" s="36"/>
      <c r="I26" s="36"/>
      <c r="J26" s="36"/>
    </row>
    <row r="27" spans="1:11" x14ac:dyDescent="0.25">
      <c r="A27" s="55"/>
      <c r="B27" s="58"/>
      <c r="C27" s="34" t="s">
        <v>3</v>
      </c>
      <c r="D27" s="34">
        <v>0.25</v>
      </c>
      <c r="E27" s="9">
        <v>1.4825644740000001</v>
      </c>
      <c r="F27" s="35">
        <f t="shared" si="0"/>
        <v>0.37064111850000003</v>
      </c>
      <c r="G27" s="36"/>
      <c r="H27" s="36"/>
      <c r="I27" s="36"/>
      <c r="J27" s="36"/>
    </row>
    <row r="28" spans="1:11" x14ac:dyDescent="0.25">
      <c r="A28" s="55"/>
      <c r="B28" s="58"/>
      <c r="C28" s="34" t="s">
        <v>16</v>
      </c>
      <c r="D28" s="34">
        <v>0.62</v>
      </c>
      <c r="E28" s="9">
        <v>0.88763966599999988</v>
      </c>
      <c r="F28" s="35">
        <f t="shared" si="0"/>
        <v>0.55033659291999992</v>
      </c>
      <c r="G28" s="36"/>
      <c r="H28" s="36"/>
      <c r="I28" s="36"/>
      <c r="J28" s="36"/>
    </row>
    <row r="29" spans="1:11" x14ac:dyDescent="0.25">
      <c r="A29" s="55"/>
      <c r="B29" s="58"/>
      <c r="C29" s="34" t="s">
        <v>17</v>
      </c>
      <c r="D29" s="34">
        <v>0.5</v>
      </c>
      <c r="E29" s="9">
        <v>1.3038075370000002</v>
      </c>
      <c r="F29" s="35">
        <f t="shared" si="0"/>
        <v>0.65190376850000009</v>
      </c>
      <c r="G29" s="36"/>
      <c r="H29" s="36"/>
      <c r="I29" s="36"/>
      <c r="J29" s="36"/>
    </row>
    <row r="30" spans="1:11" x14ac:dyDescent="0.25">
      <c r="A30" s="56"/>
      <c r="B30" s="59"/>
      <c r="C30" s="34" t="s">
        <v>15</v>
      </c>
      <c r="D30" s="34">
        <v>1</v>
      </c>
      <c r="E30" s="9">
        <v>0.3355514</v>
      </c>
      <c r="F30" s="35">
        <f t="shared" si="0"/>
        <v>0.3355514</v>
      </c>
      <c r="G30" s="36"/>
      <c r="H30" s="36"/>
      <c r="I30" s="36"/>
      <c r="J30" s="36"/>
    </row>
    <row r="31" spans="1:11" ht="15" customHeight="1" x14ac:dyDescent="0.25">
      <c r="A31" s="54" t="s">
        <v>7</v>
      </c>
      <c r="B31" s="57">
        <f>SUM(E31:E39)</f>
        <v>66.276322178739989</v>
      </c>
      <c r="C31" s="34" t="s">
        <v>11</v>
      </c>
      <c r="D31" s="34">
        <v>0.75</v>
      </c>
      <c r="E31" s="9">
        <v>0.51662981278999998</v>
      </c>
      <c r="F31" s="35">
        <f t="shared" si="0"/>
        <v>0.38747235959249998</v>
      </c>
      <c r="G31" s="36">
        <f>SUM(F31:F39)/SUM($E$31:$E$39)</f>
        <v>0.6797431427109929</v>
      </c>
      <c r="H31" s="36">
        <f>'Model Travel Time'!C6</f>
        <v>0</v>
      </c>
      <c r="I31" s="36">
        <f>(0.001*H31)/86400</f>
        <v>0</v>
      </c>
      <c r="J31" s="36">
        <f>G31*I31*B31*10^6</f>
        <v>0</v>
      </c>
      <c r="K31" s="33">
        <f>((J31/3.686)^(1/1.898))+(-0.02)</f>
        <v>-0.02</v>
      </c>
    </row>
    <row r="32" spans="1:11" x14ac:dyDescent="0.25">
      <c r="A32" s="55"/>
      <c r="B32" s="58"/>
      <c r="C32" s="34" t="s">
        <v>13</v>
      </c>
      <c r="D32" s="34">
        <v>0.75</v>
      </c>
      <c r="E32" s="9">
        <v>46.610533813049997</v>
      </c>
      <c r="F32" s="35">
        <f t="shared" si="0"/>
        <v>34.957900359787502</v>
      </c>
      <c r="G32" s="36"/>
      <c r="H32" s="36"/>
      <c r="I32" s="36"/>
      <c r="J32" s="36"/>
    </row>
    <row r="33" spans="1:10" x14ac:dyDescent="0.25">
      <c r="A33" s="55"/>
      <c r="B33" s="58"/>
      <c r="C33" s="34" t="s">
        <v>10</v>
      </c>
      <c r="D33" s="34">
        <v>0</v>
      </c>
      <c r="E33" s="9">
        <v>0.13561989819999998</v>
      </c>
      <c r="F33" s="35">
        <f t="shared" si="0"/>
        <v>0</v>
      </c>
      <c r="G33" s="36"/>
      <c r="H33" s="36"/>
      <c r="I33" s="36"/>
      <c r="J33" s="36"/>
    </row>
    <row r="34" spans="1:10" x14ac:dyDescent="0.25">
      <c r="A34" s="55"/>
      <c r="B34" s="58"/>
      <c r="C34" s="34" t="s">
        <v>12</v>
      </c>
      <c r="D34" s="34">
        <v>0.41</v>
      </c>
      <c r="E34" s="9">
        <v>6.8469635450999977</v>
      </c>
      <c r="F34" s="35">
        <f t="shared" si="0"/>
        <v>2.8072550534909988</v>
      </c>
      <c r="G34" s="36"/>
      <c r="H34" s="36"/>
      <c r="I34" s="36"/>
      <c r="J34" s="36"/>
    </row>
    <row r="35" spans="1:10" x14ac:dyDescent="0.25">
      <c r="A35" s="55"/>
      <c r="B35" s="58"/>
      <c r="C35" s="34" t="s">
        <v>3</v>
      </c>
      <c r="D35" s="34">
        <v>0.25</v>
      </c>
      <c r="E35" s="9">
        <v>0.30449924</v>
      </c>
      <c r="F35" s="35">
        <f t="shared" si="0"/>
        <v>7.6124810000000001E-2</v>
      </c>
      <c r="G35" s="36"/>
      <c r="H35" s="36"/>
      <c r="I35" s="36"/>
      <c r="J35" s="36"/>
    </row>
    <row r="36" spans="1:10" x14ac:dyDescent="0.25">
      <c r="A36" s="55"/>
      <c r="B36" s="58"/>
      <c r="C36" s="34" t="s">
        <v>15</v>
      </c>
      <c r="D36" s="34">
        <v>1</v>
      </c>
      <c r="E36" s="9">
        <v>0.81365699999999985</v>
      </c>
      <c r="F36" s="35">
        <f t="shared" ref="F36:F55" si="1">D36*$E36</f>
        <v>0.81365699999999985</v>
      </c>
      <c r="G36" s="36"/>
      <c r="H36" s="36"/>
      <c r="I36" s="36"/>
      <c r="J36" s="36"/>
    </row>
    <row r="37" spans="1:10" x14ac:dyDescent="0.25">
      <c r="A37" s="55"/>
      <c r="B37" s="58"/>
      <c r="C37" s="34" t="s">
        <v>16</v>
      </c>
      <c r="D37" s="34">
        <v>0.62</v>
      </c>
      <c r="E37" s="9">
        <v>4.0289711535999988</v>
      </c>
      <c r="F37" s="35">
        <f t="shared" si="1"/>
        <v>2.4979621152319993</v>
      </c>
      <c r="G37" s="36"/>
      <c r="H37" s="36"/>
      <c r="I37" s="36"/>
      <c r="J37" s="36"/>
    </row>
    <row r="38" spans="1:10" x14ac:dyDescent="0.25">
      <c r="A38" s="55"/>
      <c r="B38" s="58"/>
      <c r="C38" s="34" t="s">
        <v>17</v>
      </c>
      <c r="D38" s="34">
        <v>0.5</v>
      </c>
      <c r="E38" s="9">
        <v>7.016327839999998</v>
      </c>
      <c r="F38" s="35">
        <f t="shared" si="1"/>
        <v>3.508163919999999</v>
      </c>
      <c r="G38" s="36"/>
      <c r="H38" s="36"/>
      <c r="I38" s="36"/>
      <c r="J38" s="36"/>
    </row>
    <row r="39" spans="1:10" x14ac:dyDescent="0.25">
      <c r="A39" s="56"/>
      <c r="B39" s="59"/>
      <c r="C39" s="34" t="s">
        <v>14</v>
      </c>
      <c r="D39" s="34">
        <v>0.75</v>
      </c>
      <c r="E39" s="9">
        <v>3.1198759999999997E-3</v>
      </c>
      <c r="F39" s="35">
        <f t="shared" si="1"/>
        <v>2.3399069999999996E-3</v>
      </c>
      <c r="G39" s="36"/>
      <c r="H39" s="36"/>
      <c r="I39" s="36"/>
      <c r="J39" s="36"/>
    </row>
    <row r="40" spans="1:10" x14ac:dyDescent="0.25">
      <c r="A40" s="63" t="s">
        <v>8</v>
      </c>
      <c r="B40" s="64">
        <f>SUM(E40:E47)</f>
        <v>12.121175485416099</v>
      </c>
      <c r="C40" s="37" t="s">
        <v>10</v>
      </c>
      <c r="D40" s="37">
        <v>0</v>
      </c>
      <c r="E40" s="38">
        <v>1.5138E-3</v>
      </c>
      <c r="F40" s="35">
        <f t="shared" si="1"/>
        <v>0</v>
      </c>
      <c r="G40" s="36">
        <f>SUM(F40:F47)/SUM($E$40:$E$47)</f>
        <v>0.739080521185149</v>
      </c>
      <c r="H40" s="36">
        <v>15</v>
      </c>
      <c r="I40" s="36">
        <f>(0.001*H40)/86400</f>
        <v>1.7361111111111109E-7</v>
      </c>
      <c r="J40" s="36" t="e">
        <f>SUM(#REF!)</f>
        <v>#REF!</v>
      </c>
    </row>
    <row r="41" spans="1:10" x14ac:dyDescent="0.25">
      <c r="A41" s="63"/>
      <c r="B41" s="63"/>
      <c r="C41" s="37" t="s">
        <v>11</v>
      </c>
      <c r="D41" s="37">
        <v>0.75</v>
      </c>
      <c r="E41" s="38">
        <v>9.306906899999999E-2</v>
      </c>
      <c r="F41" s="35">
        <f t="shared" si="1"/>
        <v>6.9801801749999989E-2</v>
      </c>
      <c r="G41" s="36"/>
      <c r="H41" s="36"/>
      <c r="I41" s="36"/>
      <c r="J41" s="36"/>
    </row>
    <row r="42" spans="1:10" x14ac:dyDescent="0.25">
      <c r="A42" s="63"/>
      <c r="B42" s="63"/>
      <c r="C42" s="37" t="s">
        <v>12</v>
      </c>
      <c r="D42" s="37">
        <v>0.41</v>
      </c>
      <c r="E42" s="38">
        <v>0.23820593999999998</v>
      </c>
      <c r="F42" s="35">
        <f t="shared" si="1"/>
        <v>9.7664435399999985E-2</v>
      </c>
      <c r="G42" s="36"/>
      <c r="H42" s="36"/>
      <c r="I42" s="36"/>
      <c r="J42" s="36"/>
    </row>
    <row r="43" spans="1:10" x14ac:dyDescent="0.25">
      <c r="A43" s="63"/>
      <c r="B43" s="63"/>
      <c r="C43" s="37" t="s">
        <v>13</v>
      </c>
      <c r="D43" s="37">
        <v>0.75</v>
      </c>
      <c r="E43" s="38">
        <v>10.846906235000001</v>
      </c>
      <c r="F43" s="35">
        <f t="shared" si="1"/>
        <v>8.1351796762500008</v>
      </c>
      <c r="G43" s="36"/>
      <c r="H43" s="36"/>
      <c r="I43" s="36"/>
      <c r="J43" s="36"/>
    </row>
    <row r="44" spans="1:10" x14ac:dyDescent="0.25">
      <c r="A44" s="63"/>
      <c r="B44" s="63"/>
      <c r="C44" s="37" t="s">
        <v>14</v>
      </c>
      <c r="D44" s="37">
        <v>0.75</v>
      </c>
      <c r="E44" s="38">
        <v>3.0686582000000004E-2</v>
      </c>
      <c r="F44" s="35">
        <f t="shared" si="1"/>
        <v>2.3014936500000003E-2</v>
      </c>
      <c r="G44" s="36"/>
      <c r="H44" s="36"/>
      <c r="I44" s="36"/>
      <c r="J44" s="36"/>
    </row>
    <row r="45" spans="1:10" x14ac:dyDescent="0.25">
      <c r="A45" s="63"/>
      <c r="B45" s="63"/>
      <c r="C45" s="37" t="s">
        <v>15</v>
      </c>
      <c r="D45" s="37">
        <v>1</v>
      </c>
      <c r="E45" s="38">
        <v>0.18620258000000001</v>
      </c>
      <c r="F45" s="35">
        <f t="shared" si="1"/>
        <v>0.18620258000000001</v>
      </c>
      <c r="G45" s="36"/>
      <c r="H45" s="36"/>
      <c r="I45" s="36"/>
      <c r="J45" s="36"/>
    </row>
    <row r="46" spans="1:10" x14ac:dyDescent="0.25">
      <c r="A46" s="63"/>
      <c r="B46" s="63"/>
      <c r="C46" s="37" t="s">
        <v>16</v>
      </c>
      <c r="D46" s="37">
        <v>0.62</v>
      </c>
      <c r="E46" s="38">
        <v>0.70304687941610022</v>
      </c>
      <c r="F46" s="35">
        <f t="shared" si="1"/>
        <v>0.43588906523798215</v>
      </c>
      <c r="G46" s="36"/>
      <c r="H46" s="36"/>
      <c r="I46" s="36"/>
      <c r="J46" s="36"/>
    </row>
    <row r="47" spans="1:10" x14ac:dyDescent="0.25">
      <c r="A47" s="63"/>
      <c r="B47" s="63"/>
      <c r="C47" s="37" t="s">
        <v>17</v>
      </c>
      <c r="D47" s="37">
        <v>0.5</v>
      </c>
      <c r="E47" s="38">
        <v>2.1544399999999998E-2</v>
      </c>
      <c r="F47" s="35">
        <f t="shared" si="1"/>
        <v>1.0772199999999999E-2</v>
      </c>
      <c r="G47" s="36"/>
      <c r="H47" s="36"/>
      <c r="I47" s="36"/>
      <c r="J47" s="36"/>
    </row>
    <row r="48" spans="1:10" x14ac:dyDescent="0.25">
      <c r="A48" s="54" t="s">
        <v>9</v>
      </c>
      <c r="B48" s="57">
        <f>SUM(E48:E55)</f>
        <v>36.635055901489999</v>
      </c>
      <c r="C48" s="34" t="s">
        <v>10</v>
      </c>
      <c r="D48" s="34">
        <v>0</v>
      </c>
      <c r="E48" s="9">
        <v>0.20914204</v>
      </c>
      <c r="F48" s="35">
        <f t="shared" si="1"/>
        <v>0</v>
      </c>
      <c r="G48" s="36">
        <f>SUM(F48:F55)/SUM($E$48:$E$55)</f>
        <v>0.71194979136272296</v>
      </c>
      <c r="H48" s="36">
        <v>15</v>
      </c>
      <c r="I48" s="36">
        <f>(0.001*H48)/86400</f>
        <v>1.7361111111111109E-7</v>
      </c>
      <c r="J48" s="36" t="e">
        <f>SUM(#REF!)</f>
        <v>#REF!</v>
      </c>
    </row>
    <row r="49" spans="1:10" x14ac:dyDescent="0.25">
      <c r="A49" s="55"/>
      <c r="B49" s="55"/>
      <c r="C49" s="34" t="s">
        <v>11</v>
      </c>
      <c r="D49" s="34">
        <v>0.75</v>
      </c>
      <c r="E49" s="9">
        <v>0.56896040732000008</v>
      </c>
      <c r="F49" s="35">
        <f t="shared" si="1"/>
        <v>0.42672030549000006</v>
      </c>
      <c r="G49" s="36"/>
      <c r="H49" s="36"/>
      <c r="I49" s="36"/>
      <c r="J49" s="36"/>
    </row>
    <row r="50" spans="1:10" x14ac:dyDescent="0.25">
      <c r="A50" s="55"/>
      <c r="B50" s="55"/>
      <c r="C50" s="34" t="s">
        <v>12</v>
      </c>
      <c r="D50" s="34">
        <v>0.41</v>
      </c>
      <c r="E50" s="9">
        <v>0.40698694899999999</v>
      </c>
      <c r="F50" s="35">
        <f t="shared" si="1"/>
        <v>0.16686464908999998</v>
      </c>
      <c r="G50" s="36"/>
      <c r="H50" s="36"/>
      <c r="I50" s="36"/>
      <c r="J50" s="36"/>
    </row>
    <row r="51" spans="1:10" x14ac:dyDescent="0.25">
      <c r="A51" s="55"/>
      <c r="B51" s="55"/>
      <c r="C51" s="34" t="s">
        <v>13</v>
      </c>
      <c r="D51" s="34">
        <v>0.75</v>
      </c>
      <c r="E51" s="9">
        <v>31.440403428170001</v>
      </c>
      <c r="F51" s="35">
        <f t="shared" si="1"/>
        <v>23.5803025711275</v>
      </c>
      <c r="G51" s="36"/>
      <c r="H51" s="36"/>
      <c r="I51" s="36"/>
      <c r="J51" s="36"/>
    </row>
    <row r="52" spans="1:10" x14ac:dyDescent="0.25">
      <c r="A52" s="55"/>
      <c r="B52" s="55"/>
      <c r="C52" s="34" t="s">
        <v>3</v>
      </c>
      <c r="D52" s="34">
        <v>0.25</v>
      </c>
      <c r="E52" s="9">
        <v>1.4825644740000001</v>
      </c>
      <c r="F52" s="35">
        <f t="shared" si="1"/>
        <v>0.37064111850000003</v>
      </c>
      <c r="G52" s="36"/>
      <c r="H52" s="36"/>
      <c r="I52" s="36"/>
      <c r="J52" s="36"/>
    </row>
    <row r="53" spans="1:10" x14ac:dyDescent="0.25">
      <c r="A53" s="55"/>
      <c r="B53" s="55"/>
      <c r="C53" s="34" t="s">
        <v>16</v>
      </c>
      <c r="D53" s="34">
        <v>0.62</v>
      </c>
      <c r="E53" s="9">
        <v>0.88763966599999988</v>
      </c>
      <c r="F53" s="35">
        <f t="shared" si="1"/>
        <v>0.55033659291999992</v>
      </c>
      <c r="G53" s="36"/>
      <c r="H53" s="36"/>
      <c r="I53" s="36"/>
      <c r="J53" s="36"/>
    </row>
    <row r="54" spans="1:10" x14ac:dyDescent="0.25">
      <c r="A54" s="55"/>
      <c r="B54" s="55"/>
      <c r="C54" s="34" t="s">
        <v>17</v>
      </c>
      <c r="D54" s="34">
        <v>0.5</v>
      </c>
      <c r="E54" s="9">
        <v>1.3038075370000002</v>
      </c>
      <c r="F54" s="35">
        <f t="shared" si="1"/>
        <v>0.65190376850000009</v>
      </c>
      <c r="G54" s="36"/>
      <c r="H54" s="36"/>
      <c r="I54" s="36"/>
      <c r="J54" s="36"/>
    </row>
    <row r="55" spans="1:10" x14ac:dyDescent="0.25">
      <c r="A55" s="56"/>
      <c r="B55" s="56"/>
      <c r="C55" s="34" t="s">
        <v>15</v>
      </c>
      <c r="D55" s="34">
        <v>1</v>
      </c>
      <c r="E55" s="9">
        <v>0.3355514</v>
      </c>
      <c r="F55" s="35">
        <f t="shared" si="1"/>
        <v>0.3355514</v>
      </c>
      <c r="G55" s="36"/>
      <c r="H55" s="36"/>
      <c r="I55" s="36"/>
      <c r="J55" s="36"/>
    </row>
  </sheetData>
  <sheetProtection algorithmName="SHA-512" hashValue="2CaeEiD9JBXJYOtYbfiRCkjCk6RQDc/woAUQBSHEWSeqtyM/ikU6tGb6VPTTZcYKYXK6eSe+iNq77+8dSwPypw==" saltValue="gtvLqKZS3d+O3Kyi4DZ1dw==" spinCount="100000" sheet="1" objects="1" scenarios="1"/>
  <mergeCells count="23">
    <mergeCell ref="E1:E2"/>
    <mergeCell ref="H1:H2"/>
    <mergeCell ref="J1:J2"/>
    <mergeCell ref="I1:I2"/>
    <mergeCell ref="K1:K2"/>
    <mergeCell ref="F1:F2"/>
    <mergeCell ref="G1:G2"/>
    <mergeCell ref="C1:C2"/>
    <mergeCell ref="D1:D2"/>
    <mergeCell ref="A4:A13"/>
    <mergeCell ref="B4:B13"/>
    <mergeCell ref="A40:A47"/>
    <mergeCell ref="B40:B47"/>
    <mergeCell ref="A23:A30"/>
    <mergeCell ref="B23:B30"/>
    <mergeCell ref="A14:A22"/>
    <mergeCell ref="B14:B22"/>
    <mergeCell ref="A48:A55"/>
    <mergeCell ref="B48:B55"/>
    <mergeCell ref="A31:A39"/>
    <mergeCell ref="B31:B39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9"/>
  <sheetViews>
    <sheetView workbookViewId="0">
      <selection activeCell="F3" sqref="F3"/>
    </sheetView>
  </sheetViews>
  <sheetFormatPr defaultRowHeight="15" x14ac:dyDescent="0.25"/>
  <cols>
    <col min="1" max="1" width="16.42578125" customWidth="1"/>
    <col min="2" max="2" width="9.7109375" bestFit="1" customWidth="1"/>
    <col min="3" max="3" width="8" customWidth="1"/>
    <col min="4" max="4" width="13" customWidth="1"/>
    <col min="5" max="5" width="11" bestFit="1" customWidth="1"/>
    <col min="6" max="7" width="11" customWidth="1"/>
    <col min="8" max="8" width="7.7109375" customWidth="1"/>
    <col min="9" max="9" width="9.28515625" hidden="1" customWidth="1"/>
    <col min="10" max="10" width="10.7109375" bestFit="1" customWidth="1"/>
    <col min="13" max="13" width="11.28515625" bestFit="1" customWidth="1"/>
    <col min="14" max="14" width="12.7109375" hidden="1" customWidth="1"/>
  </cols>
  <sheetData>
    <row r="2" spans="1:13" x14ac:dyDescent="0.25">
      <c r="A2" s="11" t="s">
        <v>27</v>
      </c>
      <c r="B2" s="11"/>
      <c r="C2" s="44" t="s">
        <v>26</v>
      </c>
      <c r="D2" s="11" t="s">
        <v>28</v>
      </c>
      <c r="E2" s="11" t="s">
        <v>29</v>
      </c>
      <c r="F2" s="11" t="s">
        <v>36</v>
      </c>
      <c r="G2" s="44" t="s">
        <v>35</v>
      </c>
      <c r="H2" s="11" t="s">
        <v>31</v>
      </c>
      <c r="I2" s="11" t="s">
        <v>39</v>
      </c>
      <c r="J2" s="11" t="s">
        <v>30</v>
      </c>
      <c r="K2" s="10" t="s">
        <v>32</v>
      </c>
      <c r="L2" s="10" t="s">
        <v>33</v>
      </c>
      <c r="M2" s="45" t="s">
        <v>34</v>
      </c>
    </row>
    <row r="3" spans="1:13" x14ac:dyDescent="0.25">
      <c r="A3" s="46" t="s">
        <v>2</v>
      </c>
      <c r="B3" s="11"/>
      <c r="C3" s="44">
        <f>'FORM INPUT'!B3</f>
        <v>0</v>
      </c>
      <c r="D3" s="1">
        <v>1.4425719020920118</v>
      </c>
      <c r="E3" s="1">
        <f>IF(C3=0,F3,F3+'Koefisien Runoff'!J4)</f>
        <v>1.4425719020920118</v>
      </c>
      <c r="F3" s="1">
        <f>41.31*(G3-(-0.09))^2.02</f>
        <v>1.4425719020920118</v>
      </c>
      <c r="G3" s="47">
        <f>IF('FORM INPUT'!C3&lt;0.1,0.1,'FORM INPUT'!C3)</f>
        <v>0.1</v>
      </c>
      <c r="H3" s="1">
        <f>IF(E3=D3,G3,G3+'Koefisien Runoff'!K4)</f>
        <v>0.1</v>
      </c>
      <c r="I3" s="1">
        <v>0</v>
      </c>
      <c r="J3" s="1">
        <f>IF(D3=E3,D3,D3+E3)</f>
        <v>1.4425719020920118</v>
      </c>
      <c r="K3" s="1">
        <v>35</v>
      </c>
      <c r="L3" s="1">
        <f>23.54*1000</f>
        <v>23540</v>
      </c>
      <c r="M3" s="14">
        <f>(L3*(K3*H3))/(3600*J3)</f>
        <v>15.864797503626521</v>
      </c>
    </row>
    <row r="4" spans="1:13" x14ac:dyDescent="0.25">
      <c r="A4" s="1" t="s">
        <v>5</v>
      </c>
      <c r="B4" s="12"/>
      <c r="C4" s="44">
        <f>'FORM INPUT'!B4</f>
        <v>0</v>
      </c>
      <c r="D4" s="1">
        <v>1.9328486767310691</v>
      </c>
      <c r="E4" s="1">
        <f>IF(C4=0,F4,F4+'Koefisien Runoff'!J14)</f>
        <v>1.9328486767310691</v>
      </c>
      <c r="F4" s="1">
        <f>23.06*(G4-(-0.14))^2.298</f>
        <v>1.9328486767310691</v>
      </c>
      <c r="G4" s="47">
        <f>IF('FORM INPUT'!C4&lt;0.2,0.2,'FORM INPUT'!C4)</f>
        <v>0.2</v>
      </c>
      <c r="H4" s="1">
        <f>IF(E4=D4,G4,G4+'Koefisien Runoff'!K14)</f>
        <v>0.2</v>
      </c>
      <c r="I4" s="1" t="e">
        <f>((E2/23.06)^(1/2.298))+(-0.14)</f>
        <v>#VALUE!</v>
      </c>
      <c r="J4" s="1">
        <f>IF(D4=E4,D4+J3,D4+E4+J3)</f>
        <v>3.3754205788230811</v>
      </c>
      <c r="K4" s="1">
        <v>21</v>
      </c>
      <c r="L4" s="1">
        <f>31.32*1000</f>
        <v>31320</v>
      </c>
      <c r="M4" s="14">
        <f>(L4*(K4*H4))/(3600*J4)</f>
        <v>10.825317659448684</v>
      </c>
    </row>
    <row r="5" spans="1:13" x14ac:dyDescent="0.25">
      <c r="A5" s="48" t="s">
        <v>6</v>
      </c>
      <c r="B5" s="12"/>
      <c r="C5" s="44">
        <f>'FORM INPUT'!B5</f>
        <v>0</v>
      </c>
      <c r="D5" s="1">
        <v>13.748968286813691</v>
      </c>
      <c r="E5" s="1">
        <f>IF(C5=0,F5,F5+'Koefisien Runoff'!J23)</f>
        <v>13.748968286813691</v>
      </c>
      <c r="F5" s="1">
        <f>22.75*(G5-0.056)^1.703</f>
        <v>13.748968286813691</v>
      </c>
      <c r="G5" s="47">
        <f>IF('FORM INPUT'!C5&lt;0.8,0.8,'FORM INPUT'!C5)</f>
        <v>0.8</v>
      </c>
      <c r="H5" s="1">
        <f>IF(E5=D5,G5,G5+'Koefisien Runoff'!K23)</f>
        <v>0.8</v>
      </c>
      <c r="I5" s="1">
        <f>((J3/22.75)^(1/1.703))+(0.056)</f>
        <v>0.25398266617453508</v>
      </c>
      <c r="J5" s="1">
        <f>IF(D5=E5,D5+J4,D5+E5+J4)</f>
        <v>17.124388865636771</v>
      </c>
      <c r="K5" s="1">
        <v>35</v>
      </c>
      <c r="L5" s="1">
        <f>10.69*1000</f>
        <v>10690</v>
      </c>
      <c r="M5" s="14">
        <f>(L5*(K5*H5))/(3600*J5)</f>
        <v>4.8553233109117855</v>
      </c>
    </row>
    <row r="6" spans="1:13" x14ac:dyDescent="0.25">
      <c r="A6" s="48" t="s">
        <v>7</v>
      </c>
      <c r="B6" s="12"/>
      <c r="C6" s="44">
        <f>'FORM INPUT'!B6</f>
        <v>0</v>
      </c>
      <c r="D6" s="1">
        <v>3.8271761968865174</v>
      </c>
      <c r="E6" s="1">
        <f>IF(C6=0,F6,F6+'Koefisien Runoff'!J31)</f>
        <v>3.8271761968865174</v>
      </c>
      <c r="F6" s="1">
        <f>3.686*(G6-(-0.02))^1.898</f>
        <v>3.8271761968865174</v>
      </c>
      <c r="G6" s="47">
        <f>IF('FORM INPUT'!C6&lt;1,1,'FORM INPUT'!C6)</f>
        <v>1</v>
      </c>
      <c r="H6" s="1">
        <f>IF(E6=D6,G6,G6+'Koefisien Runoff'!K31)</f>
        <v>1</v>
      </c>
      <c r="I6" s="1">
        <f>((J3/3.686)^(1/1.898))+(-0.02)</f>
        <v>0.59001932335310914</v>
      </c>
      <c r="J6" s="1">
        <f>IF(D6=E6,D6+J5,D6+E6+J5)</f>
        <v>20.951565062523287</v>
      </c>
      <c r="K6" s="1">
        <v>27</v>
      </c>
      <c r="L6" s="1">
        <f>39.23*1000</f>
        <v>39230</v>
      </c>
      <c r="M6" s="14">
        <f>(L6*(K6*H6))/(3600*J6)</f>
        <v>14.043103659415371</v>
      </c>
    </row>
    <row r="7" spans="1:13" x14ac:dyDescent="0.25">
      <c r="A7" s="4"/>
      <c r="B7" s="5"/>
      <c r="C7" s="4"/>
      <c r="D7" s="4"/>
      <c r="E7" s="4"/>
      <c r="F7" s="4"/>
      <c r="G7" s="2"/>
    </row>
    <row r="8" spans="1:13" x14ac:dyDescent="0.25">
      <c r="B8" s="5"/>
    </row>
    <row r="9" spans="1:13" x14ac:dyDescent="0.25">
      <c r="B9" s="5"/>
    </row>
  </sheetData>
  <sheetProtection algorithmName="SHA-512" hashValue="lEVgXYPw/bZOTt92Edw1GT64HhcNzs08kg1VihQ5sEffk0WIEGla0eJwtRqlsOl9ZwxrzNZFE+lGOW8qpob8TQ==" saltValue="yCVYqv9nnIiMseOv/xKsQA==" spinCount="100000" sheet="1" objects="1" scenario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INPUT</vt:lpstr>
      <vt:lpstr>Koefisien Runoff</vt:lpstr>
      <vt:lpstr>Model Travel Time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Rizki Abdul Basit</dc:creator>
  <cp:lastModifiedBy>Rizki Abdul Basit</cp:lastModifiedBy>
  <dcterms:created xsi:type="dcterms:W3CDTF">2018-09-08T09:28:16Z</dcterms:created>
  <dcterms:modified xsi:type="dcterms:W3CDTF">2018-10-19T11:51:05Z</dcterms:modified>
</cp:coreProperties>
</file>